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G:\TRANSIT\BR\Projet semence de boucherie\"/>
    </mc:Choice>
  </mc:AlternateContent>
  <xr:revisionPtr revIDLastSave="0" documentId="13_ncr:1_{1374AAA9-C411-4211-B8F4-1E8A8DC85F57}" xr6:coauthVersionLast="36" xr6:coauthVersionMax="36" xr10:uidLastSave="{00000000-0000-0000-0000-000000000000}"/>
  <bookViews>
    <workbookView xWindow="0" yWindow="0" windowWidth="23040" windowHeight="9780" xr2:uid="{12A36ADA-6FEC-44E4-88B3-04EAF40CB6C2}"/>
  </bookViews>
  <sheets>
    <sheet name="Feuil1" sheetId="1" r:id="rId1"/>
  </sheets>
  <externalReferences>
    <externalReference r:id="rId2"/>
    <externalReference r:id="rId3"/>
  </externalReferences>
  <definedNames>
    <definedName name="_xlnm.Print_Area" localSheetId="0">Feuil1!$A$1:$L$33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J17" i="1"/>
  <c r="J16" i="1"/>
  <c r="J15" i="1"/>
  <c r="P13" i="1"/>
  <c r="O13" i="1" s="1"/>
  <c r="R13" i="1"/>
  <c r="Q13" i="1" s="1"/>
  <c r="N29" i="1"/>
  <c r="N28" i="1"/>
  <c r="H28" i="1"/>
  <c r="E28" i="1"/>
  <c r="N27" i="1"/>
  <c r="H27" i="1"/>
  <c r="E27" i="1"/>
  <c r="N26" i="1"/>
  <c r="H26" i="1"/>
  <c r="E26" i="1"/>
  <c r="N25" i="1"/>
  <c r="H25" i="1"/>
  <c r="E25" i="1"/>
  <c r="N24" i="1"/>
  <c r="H24" i="1"/>
  <c r="E24" i="1"/>
  <c r="N23" i="1"/>
  <c r="H23" i="1"/>
  <c r="E23" i="1"/>
  <c r="H22" i="1"/>
  <c r="E22" i="1"/>
  <c r="T19" i="1"/>
  <c r="R18" i="1"/>
  <c r="Q18" i="1" s="1"/>
  <c r="P18" i="1"/>
  <c r="O18" i="1" s="1"/>
  <c r="R17" i="1"/>
  <c r="Q17" i="1" s="1"/>
  <c r="P17" i="1"/>
  <c r="O17" i="1" s="1"/>
  <c r="R16" i="1"/>
  <c r="Q16" i="1" s="1"/>
  <c r="P16" i="1"/>
  <c r="O16" i="1" s="1"/>
  <c r="R15" i="1"/>
  <c r="Q15" i="1" s="1"/>
  <c r="P15" i="1"/>
  <c r="O15" i="1" s="1"/>
  <c r="R14" i="1"/>
  <c r="Q14" i="1" s="1"/>
  <c r="P14" i="1"/>
  <c r="O14" i="1" s="1"/>
  <c r="S9" i="1"/>
  <c r="R9" i="1"/>
  <c r="Q9" i="1"/>
  <c r="P9" i="1"/>
  <c r="T9" i="1" s="1"/>
  <c r="S8" i="1"/>
  <c r="R8" i="1"/>
  <c r="Q8" i="1"/>
  <c r="P8" i="1"/>
  <c r="T8" i="1" s="1"/>
  <c r="S7" i="1"/>
  <c r="R7" i="1"/>
  <c r="Q7" i="1"/>
  <c r="P7" i="1"/>
  <c r="F26" i="1" s="1"/>
  <c r="R6" i="1"/>
  <c r="Q6" i="1"/>
  <c r="P6" i="1"/>
  <c r="O6" i="1"/>
  <c r="S6" i="1" s="1"/>
  <c r="R4" i="1"/>
  <c r="Q4" i="1"/>
  <c r="P4" i="1"/>
  <c r="O4" i="1"/>
  <c r="S4" i="1" s="1"/>
  <c r="R3" i="1"/>
  <c r="Q3" i="1"/>
  <c r="P3" i="1"/>
  <c r="O3" i="1"/>
  <c r="F23" i="1" s="1"/>
  <c r="R2" i="1"/>
  <c r="Q2" i="1"/>
  <c r="P2" i="1"/>
  <c r="O2" i="1"/>
  <c r="S2" i="1" s="1"/>
  <c r="I22" i="1" l="1"/>
  <c r="U15" i="1"/>
  <c r="I25" i="1"/>
  <c r="U13" i="1"/>
  <c r="I24" i="1"/>
  <c r="T13" i="1"/>
  <c r="I27" i="1"/>
  <c r="S13" i="1"/>
  <c r="I23" i="1"/>
  <c r="F27" i="1"/>
  <c r="F25" i="1"/>
  <c r="G28" i="1"/>
  <c r="G24" i="1"/>
  <c r="G25" i="1"/>
  <c r="T7" i="1"/>
  <c r="G26" i="1" s="1"/>
  <c r="F24" i="1"/>
  <c r="F28" i="1"/>
  <c r="I26" i="1"/>
  <c r="I28" i="1"/>
  <c r="U14" i="1"/>
  <c r="F22" i="1"/>
  <c r="G27" i="1"/>
  <c r="G22" i="1"/>
  <c r="S3" i="1"/>
  <c r="G23" i="1" s="1"/>
  <c r="J22" i="1" l="1"/>
  <c r="K22" i="1" s="1"/>
  <c r="J25" i="1"/>
  <c r="K25" i="1" s="1"/>
  <c r="J24" i="1"/>
  <c r="K24" i="1" s="1"/>
  <c r="J27" i="1"/>
  <c r="K27" i="1" s="1"/>
  <c r="J23" i="1"/>
  <c r="K23" i="1" s="1"/>
  <c r="J28" i="1"/>
  <c r="K28" i="1" s="1"/>
  <c r="J26" i="1"/>
  <c r="K26" i="1" s="1"/>
</calcChain>
</file>

<file path=xl/sharedStrings.xml><?xml version="1.0" encoding="utf-8"?>
<sst xmlns="http://schemas.openxmlformats.org/spreadsheetml/2006/main" count="61" uniqueCount="56">
  <si>
    <t>Potentiel de rentabilité de l'utilisation de semence de boucherie dans les troupeaux laitiers</t>
  </si>
  <si>
    <t>Nombre de génisses HO</t>
  </si>
  <si>
    <t>Nombre de femelles boucherie</t>
  </si>
  <si>
    <t>Nombre de mâle Ho</t>
  </si>
  <si>
    <t>Nombre de mâle boucherie</t>
  </si>
  <si>
    <t>Nombre de femelles HO vendus</t>
  </si>
  <si>
    <t>BLEU</t>
  </si>
  <si>
    <t>Vous devez remplir les cases bleues.</t>
  </si>
  <si>
    <t>ROUGE</t>
  </si>
  <si>
    <t>Vous devez ajuster les proportions de semence sexée et conventionnelle (laitière et boucherie) utilisées afin que la somme des 4 colonnes donne 100%.</t>
  </si>
  <si>
    <t>JAUNE</t>
  </si>
  <si>
    <t>Vous devrez acheter des femelles de remplacement, ce qui aura un impact sur votre profit sur la vente de veaux.</t>
  </si>
  <si>
    <t xml:space="preserve">Nombre de vaches </t>
  </si>
  <si>
    <t>vaches</t>
  </si>
  <si>
    <t>Le nombre de taures élevées dépend du taux de remplacement, des objectifs de l'entreprise et de plusieurs autres facteurs de régie et de marché. Alors que le taux de remplacement optimal se situe à 25%, il est intéressant de prévoir une marge de sécurité de quelques pourcents à votre taux de remplacement réel (ex. 3%).</t>
  </si>
  <si>
    <t>Prix de la dose</t>
  </si>
  <si>
    <t>Nombre de vaches réformées</t>
  </si>
  <si>
    <t>Sexée Holstein</t>
  </si>
  <si>
    <t>Nombre de femelles de remplacement  élevées</t>
  </si>
  <si>
    <t>taures</t>
  </si>
  <si>
    <t>Conventionnelle Holstein</t>
  </si>
  <si>
    <t>Prix d'achat de femelles de remplacement</t>
  </si>
  <si>
    <t xml:space="preserve">http://lait.org/fichiers/Revue/PLQ-2011-09/valacta.pdf </t>
  </si>
  <si>
    <t>Conventionnelle boucherie</t>
  </si>
  <si>
    <t>Sexée boucherie</t>
  </si>
  <si>
    <t>Cout semence genisse HO</t>
  </si>
  <si>
    <t>Mortalité des veaux</t>
  </si>
  <si>
    <t>Nombre de doses sexée</t>
  </si>
  <si>
    <t>Genisse HO - semence sexée</t>
  </si>
  <si>
    <t>Nombre de doses conventionelle</t>
  </si>
  <si>
    <t>Genisse HO - semence conventionelle</t>
  </si>
  <si>
    <t xml:space="preserve"> = nombre femelles remplacement</t>
  </si>
  <si>
    <t xml:space="preserve"> &gt; nombre de femelles de remplacement</t>
  </si>
  <si>
    <t xml:space="preserve"> &lt; nombre de femelles de remplacement</t>
  </si>
  <si>
    <t>Prix / lb vivant</t>
  </si>
  <si>
    <t>Poids moyen (lb)</t>
  </si>
  <si>
    <t>Femelle Holstein</t>
  </si>
  <si>
    <t>Mâle Holstein</t>
  </si>
  <si>
    <t>Femelle croisée boucherie</t>
  </si>
  <si>
    <t>Mâle croisé boucherie</t>
  </si>
  <si>
    <t>Semence de race laitière</t>
  </si>
  <si>
    <t>Semence de boucherie</t>
  </si>
  <si>
    <t>Total</t>
  </si>
  <si>
    <t>Nombre de femelles de remplacement à acheter</t>
  </si>
  <si>
    <t>Revenu brut de la vente des veaux</t>
  </si>
  <si>
    <t xml:space="preserve">Coût total de la semence </t>
  </si>
  <si>
    <t>Coût de la semence pour la production de veaux vendus</t>
  </si>
  <si>
    <t>Potentiel de rentabilité de la vente de veaux</t>
  </si>
  <si>
    <t>Rentabilité considérant l'achat de femelles de remplacement</t>
  </si>
  <si>
    <t>Sexée</t>
  </si>
  <si>
    <t>Conventionnelle</t>
  </si>
  <si>
    <t>Nombre de veaux</t>
  </si>
  <si>
    <t>Ce projet a été financé par le Programme de développement sectoriel, en vertu du Partenariat canadien pour l’agriculture, une entente conclue entre les gouvernements du Canada et du Québec.</t>
  </si>
  <si>
    <t>Les Producteurs de bovins du Québec</t>
  </si>
  <si>
    <t>Taux de conception</t>
  </si>
  <si>
    <t>Mise à jour le 10 janvier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</si>
</sst>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s>
  <fills count="8">
    <fill>
      <patternFill patternType="none"/>
    </fill>
    <fill>
      <patternFill patternType="gray125"/>
    </fill>
    <fill>
      <patternFill patternType="solid">
        <fgColor rgb="FFBDD7EE"/>
        <bgColor indexed="64"/>
      </patternFill>
    </fill>
    <fill>
      <patternFill patternType="solid">
        <fgColor rgb="FFFF0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84">
    <xf numFmtId="0" fontId="0" fillId="0" borderId="0" xfId="0"/>
    <xf numFmtId="0" fontId="4" fillId="0" borderId="0" xfId="0" applyFont="1" applyAlignment="1">
      <alignment horizontal="center"/>
    </xf>
    <xf numFmtId="0" fontId="4" fillId="0" borderId="0" xfId="0" applyFont="1" applyAlignment="1">
      <alignment horizontal="center"/>
    </xf>
    <xf numFmtId="1" fontId="0" fillId="0" borderId="0" xfId="2" applyNumberFormat="1" applyFont="1"/>
    <xf numFmtId="0" fontId="0" fillId="0" borderId="0" xfId="0" applyAlignment="1"/>
    <xf numFmtId="0" fontId="2" fillId="2"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center"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2" fillId="4" borderId="1" xfId="0" applyFont="1" applyFill="1" applyBorder="1" applyAlignment="1">
      <alignment horizontal="center" vertical="center"/>
    </xf>
    <xf numFmtId="0" fontId="0" fillId="0" borderId="2" xfId="0" applyBorder="1" applyAlignment="1">
      <alignment horizontal="left" vertical="center"/>
    </xf>
    <xf numFmtId="3" fontId="0" fillId="5" borderId="3" xfId="0" applyNumberFormat="1" applyFill="1" applyBorder="1" applyAlignment="1">
      <alignment horizontal="center" vertical="center"/>
    </xf>
    <xf numFmtId="3" fontId="0" fillId="0" borderId="4" xfId="0" applyNumberFormat="1" applyFill="1" applyBorder="1" applyAlignment="1">
      <alignment horizontal="center" vertical="center"/>
    </xf>
    <xf numFmtId="3" fontId="0" fillId="0" borderId="5"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5" borderId="7"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2" xfId="0" applyNumberFormat="1" applyBorder="1" applyAlignment="1">
      <alignment horizontal="center" vertical="center" wrapText="1"/>
    </xf>
    <xf numFmtId="3" fontId="0" fillId="0" borderId="0" xfId="0" applyNumberFormat="1" applyBorder="1" applyAlignment="1">
      <alignment horizontal="center" vertical="center" wrapText="1"/>
    </xf>
    <xf numFmtId="3" fontId="0" fillId="0" borderId="8" xfId="0" applyNumberFormat="1" applyBorder="1" applyAlignment="1">
      <alignment horizontal="center" vertical="center" wrapText="1"/>
    </xf>
    <xf numFmtId="4" fontId="0" fillId="0" borderId="1" xfId="0" applyNumberFormat="1" applyBorder="1" applyAlignment="1">
      <alignment horizontal="left" vertical="center"/>
    </xf>
    <xf numFmtId="44" fontId="0" fillId="2" borderId="1" xfId="1" applyFont="1" applyFill="1" applyBorder="1" applyAlignment="1">
      <alignment horizontal="center" vertical="center"/>
    </xf>
    <xf numFmtId="3" fontId="0" fillId="5" borderId="9"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0" fillId="0" borderId="11"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12" xfId="0" applyNumberFormat="1" applyBorder="1" applyAlignment="1">
      <alignment horizontal="center" vertical="center" wrapText="1"/>
    </xf>
    <xf numFmtId="44" fontId="0" fillId="5" borderId="1" xfId="1" applyFont="1" applyFill="1" applyBorder="1" applyAlignment="1">
      <alignment horizontal="center" vertical="center"/>
    </xf>
    <xf numFmtId="3" fontId="3" fillId="0" borderId="13" xfId="3" applyNumberFormat="1" applyBorder="1" applyAlignment="1">
      <alignment horizontal="center" vertical="center"/>
    </xf>
    <xf numFmtId="3" fontId="3" fillId="0" borderId="14" xfId="3" applyNumberFormat="1" applyBorder="1" applyAlignment="1">
      <alignment horizontal="center" vertical="center"/>
    </xf>
    <xf numFmtId="3" fontId="3" fillId="0" borderId="7" xfId="3" applyNumberFormat="1" applyBorder="1" applyAlignment="1">
      <alignment horizontal="center" vertical="center"/>
    </xf>
    <xf numFmtId="3" fontId="0" fillId="0" borderId="0" xfId="0" applyNumberFormat="1" applyBorder="1"/>
    <xf numFmtId="3" fontId="0" fillId="0" borderId="0" xfId="0" applyNumberFormat="1" applyBorder="1" applyAlignment="1">
      <alignment horizontal="center" vertical="center"/>
    </xf>
    <xf numFmtId="4" fontId="0" fillId="0" borderId="1" xfId="0" applyNumberFormat="1" applyBorder="1" applyAlignment="1">
      <alignment horizontal="left" vertical="center" wrapText="1"/>
    </xf>
    <xf numFmtId="0" fontId="0" fillId="0" borderId="0" xfId="0" applyAlignment="1">
      <alignment horizontal="center"/>
    </xf>
    <xf numFmtId="4" fontId="0" fillId="0" borderId="0" xfId="0" applyNumberFormat="1"/>
    <xf numFmtId="10" fontId="0" fillId="6" borderId="0" xfId="2" applyNumberFormat="1" applyFont="1" applyFill="1" applyAlignment="1">
      <alignment horizontal="center" vertical="center"/>
    </xf>
    <xf numFmtId="1" fontId="0" fillId="0" borderId="0" xfId="0" applyNumberFormat="1"/>
    <xf numFmtId="44" fontId="0" fillId="0" borderId="0" xfId="1" applyFont="1"/>
    <xf numFmtId="4" fontId="0" fillId="0" borderId="0"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1" xfId="0" applyNumberFormat="1" applyBorder="1" applyAlignment="1">
      <alignment wrapText="1"/>
    </xf>
    <xf numFmtId="44" fontId="0" fillId="0" borderId="1" xfId="1" applyFont="1" applyFill="1" applyBorder="1" applyAlignment="1">
      <alignment horizontal="center" vertical="center" wrapText="1"/>
    </xf>
    <xf numFmtId="3" fontId="0" fillId="5" borderId="1" xfId="0" applyNumberFormat="1" applyFill="1" applyBorder="1" applyAlignment="1">
      <alignment horizontal="center" vertical="center" wrapText="1"/>
    </xf>
    <xf numFmtId="44" fontId="0" fillId="0" borderId="0" xfId="1" applyFont="1" applyFill="1" applyBorder="1" applyAlignment="1">
      <alignment horizontal="center" vertical="center"/>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wrapText="1"/>
    </xf>
    <xf numFmtId="9" fontId="0" fillId="7" borderId="1" xfId="2" applyFont="1" applyFill="1" applyBorder="1" applyAlignment="1">
      <alignment horizontal="center" vertical="center"/>
    </xf>
    <xf numFmtId="9" fontId="0" fillId="0" borderId="1" xfId="2" applyFont="1" applyBorder="1" applyAlignment="1">
      <alignment horizontal="center" vertical="center"/>
    </xf>
    <xf numFmtId="1" fontId="0" fillId="0" borderId="1" xfId="2" applyNumberFormat="1" applyFont="1" applyBorder="1" applyAlignment="1">
      <alignment horizontal="center" vertical="center"/>
    </xf>
    <xf numFmtId="44" fontId="0" fillId="0" borderId="1" xfId="1" applyFont="1" applyBorder="1" applyAlignment="1">
      <alignment horizontal="center" vertical="center"/>
    </xf>
    <xf numFmtId="44" fontId="0" fillId="0" borderId="1" xfId="1" applyNumberFormat="1" applyFont="1" applyBorder="1" applyAlignment="1">
      <alignment horizontal="center" vertical="center"/>
    </xf>
    <xf numFmtId="44" fontId="0" fillId="0" borderId="1" xfId="1" applyFont="1" applyBorder="1"/>
    <xf numFmtId="44" fontId="0" fillId="0" borderId="1" xfId="0" applyNumberFormat="1" applyBorder="1"/>
    <xf numFmtId="0" fontId="0" fillId="0" borderId="10" xfId="0" applyBorder="1" applyAlignment="1">
      <alignment horizontal="center" vertical="center" wrapText="1"/>
    </xf>
    <xf numFmtId="44" fontId="0" fillId="0" borderId="0" xfId="1" applyFont="1" applyBorder="1" applyAlignment="1">
      <alignment horizontal="center" vertical="center"/>
    </xf>
    <xf numFmtId="0" fontId="0" fillId="0" borderId="1" xfId="2" applyNumberFormat="1" applyFont="1" applyBorder="1"/>
    <xf numFmtId="4" fontId="0" fillId="0" borderId="3" xfId="0" applyNumberFormat="1" applyBorder="1" applyAlignment="1">
      <alignment horizontal="left"/>
    </xf>
    <xf numFmtId="44" fontId="0" fillId="0" borderId="0" xfId="0" applyNumberFormat="1"/>
    <xf numFmtId="0" fontId="0" fillId="0" borderId="0" xfId="0" applyAlignment="1">
      <alignment horizontal="left"/>
    </xf>
    <xf numFmtId="4" fontId="0" fillId="0" borderId="1" xfId="0" applyNumberFormat="1" applyBorder="1" applyAlignment="1"/>
    <xf numFmtId="4" fontId="0" fillId="0" borderId="1" xfId="0" applyNumberFormat="1" applyBorder="1" applyAlignment="1">
      <alignment vertical="center"/>
    </xf>
    <xf numFmtId="4" fontId="0" fillId="0" borderId="0" xfId="0" applyNumberFormat="1" applyAlignment="1">
      <alignment horizontal="right"/>
    </xf>
    <xf numFmtId="9" fontId="0" fillId="6" borderId="1" xfId="2" applyFont="1" applyFill="1" applyBorder="1" applyAlignment="1">
      <alignment horizontal="center" vertical="center"/>
    </xf>
    <xf numFmtId="0" fontId="0" fillId="0" borderId="0" xfId="0" applyAlignment="1">
      <alignment horizontal="right"/>
    </xf>
    <xf numFmtId="0" fontId="0" fillId="0" borderId="0" xfId="1" applyNumberFormat="1" applyFont="1"/>
    <xf numFmtId="0" fontId="0" fillId="0" borderId="2" xfId="0" applyBorder="1" applyAlignment="1">
      <alignment horizontal="center" vertical="center" wrapText="1"/>
    </xf>
    <xf numFmtId="0" fontId="0" fillId="0" borderId="4" xfId="0"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vertical="center"/>
    </xf>
    <xf numFmtId="0" fontId="0" fillId="0" borderId="7" xfId="0" applyBorder="1" applyAlignment="1">
      <alignment horizontal="center" vertical="center"/>
    </xf>
    <xf numFmtId="3" fontId="0" fillId="0" borderId="13" xfId="0" applyNumberFormat="1" applyBorder="1" applyAlignment="1">
      <alignment horizontal="left" vertical="center" wrapText="1"/>
    </xf>
    <xf numFmtId="3" fontId="0" fillId="0" borderId="7" xfId="0" applyNumberFormat="1" applyBorder="1" applyAlignment="1">
      <alignment horizontal="left" vertical="center" wrapText="1"/>
    </xf>
    <xf numFmtId="4" fontId="0" fillId="0" borderId="13" xfId="0" applyNumberFormat="1" applyBorder="1" applyAlignment="1">
      <alignment horizontal="left" vertical="center" wrapText="1"/>
    </xf>
    <xf numFmtId="4" fontId="0" fillId="0" borderId="7" xfId="0" applyNumberFormat="1" applyBorder="1" applyAlignment="1">
      <alignment horizontal="left" vertical="center" wrapText="1"/>
    </xf>
    <xf numFmtId="4" fontId="0" fillId="0" borderId="13" xfId="0" applyNumberFormat="1" applyBorder="1" applyAlignment="1">
      <alignment horizontal="left" vertical="center"/>
    </xf>
    <xf numFmtId="4" fontId="0" fillId="0" borderId="7" xfId="0" applyNumberFormat="1" applyBorder="1" applyAlignment="1">
      <alignment horizontal="left" vertical="center"/>
    </xf>
    <xf numFmtId="164" fontId="0" fillId="5" borderId="9" xfId="1" applyNumberFormat="1" applyFont="1" applyFill="1" applyBorder="1" applyAlignment="1">
      <alignment vertical="center"/>
    </xf>
  </cellXfs>
  <cellStyles count="4">
    <cellStyle name="Lien hypertexte" xfId="3" builtinId="8"/>
    <cellStyle name="Monétaire" xfId="1" builtinId="4"/>
    <cellStyle name="Normal" xfId="0" builtinId="0"/>
    <cellStyle name="Pourcentage" xfId="2" builtinId="5"/>
  </cellStyles>
  <dxfs count="21">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115987</xdr:colOff>
      <xdr:row>0</xdr:row>
      <xdr:rowOff>5924</xdr:rowOff>
    </xdr:from>
    <xdr:ext cx="1427664" cy="759885"/>
    <xdr:pic>
      <xdr:nvPicPr>
        <xdr:cNvPr id="12" name="Image 11">
          <a:extLst>
            <a:ext uri="{FF2B5EF4-FFF2-40B4-BE49-F238E27FC236}">
              <a16:creationId xmlns:a16="http://schemas.microsoft.com/office/drawing/2014/main" id="{BE266D5F-5723-456A-868A-E103681D3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987" y="5924"/>
          <a:ext cx="1427664" cy="759885"/>
        </a:xfrm>
        <a:prstGeom prst="rect">
          <a:avLst/>
        </a:prstGeom>
        <a:noFill/>
        <a:ln>
          <a:noFill/>
        </a:ln>
      </xdr:spPr>
    </xdr:pic>
    <xdr:clientData/>
  </xdr:oneCellAnchor>
  <xdr:oneCellAnchor>
    <xdr:from>
      <xdr:col>1</xdr:col>
      <xdr:colOff>544431</xdr:colOff>
      <xdr:row>0</xdr:row>
      <xdr:rowOff>12698</xdr:rowOff>
    </xdr:from>
    <xdr:ext cx="1796815" cy="824210"/>
    <xdr:pic>
      <xdr:nvPicPr>
        <xdr:cNvPr id="13" name="Image 12">
          <a:extLst>
            <a:ext uri="{FF2B5EF4-FFF2-40B4-BE49-F238E27FC236}">
              <a16:creationId xmlns:a16="http://schemas.microsoft.com/office/drawing/2014/main" id="{80EE5582-1B8C-43CD-8D4C-CB9DDDA250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7436" y="197483"/>
          <a:ext cx="1796815" cy="77087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aisgingras\Downloads\Calcul-des-couts-de-production-des-veaux-croises_2021-01-13%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VOLUTION%20DU%20PRIX%20SELON%20LE%20TYPE%20DE%20VEAUX%202-1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tentiel de rentabilité"/>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18">
          <cell r="B18">
            <v>0.99699151261481289</v>
          </cell>
          <cell r="C18">
            <v>1.4937916551262824</v>
          </cell>
          <cell r="D18">
            <v>2.0373981684020062</v>
          </cell>
          <cell r="E18">
            <v>3.1932956633258311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ait.org/fichiers/Revue/PLQ-2011-09/val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DEE5-7CC2-43DD-ACFF-2F29AAE6CFCD}">
  <dimension ref="A1:U39"/>
  <sheetViews>
    <sheetView showGridLines="0" tabSelected="1" zoomScale="115" zoomScaleNormal="115" workbookViewId="0">
      <selection activeCell="B18" sqref="B18"/>
    </sheetView>
  </sheetViews>
  <sheetFormatPr baseColWidth="10" defaultRowHeight="14.4" x14ac:dyDescent="0.3"/>
  <cols>
    <col min="1" max="1" width="17.21875" bestFit="1" customWidth="1"/>
    <col min="2" max="3" width="14.21875" bestFit="1" customWidth="1"/>
    <col min="4" max="4" width="6.5546875" bestFit="1" customWidth="1"/>
    <col min="5" max="5" width="7" bestFit="1" customWidth="1"/>
    <col min="6" max="6" width="21" bestFit="1" customWidth="1"/>
    <col min="7" max="7" width="28.88671875" bestFit="1" customWidth="1"/>
    <col min="8" max="8" width="13.5546875" bestFit="1" customWidth="1"/>
    <col min="9" max="9" width="23.88671875" bestFit="1" customWidth="1"/>
    <col min="10" max="10" width="19.6640625" bestFit="1" customWidth="1"/>
    <col min="11" max="11" width="28.44140625" bestFit="1" customWidth="1"/>
    <col min="12" max="12" width="7.44140625" customWidth="1"/>
    <col min="13" max="13" width="26.33203125" bestFit="1" customWidth="1"/>
    <col min="14" max="14" width="17.44140625" hidden="1" customWidth="1"/>
    <col min="15" max="15" width="23.33203125" hidden="1" customWidth="1"/>
    <col min="16" max="16" width="26.88671875" hidden="1" customWidth="1"/>
    <col min="17" max="17" width="28.88671875" hidden="1" customWidth="1"/>
    <col min="18" max="18" width="31.6640625" hidden="1" customWidth="1"/>
    <col min="19" max="19" width="24" hidden="1" customWidth="1"/>
    <col min="20" max="21" width="0" hidden="1" customWidth="1"/>
  </cols>
  <sheetData>
    <row r="1" spans="1:21" ht="18" x14ac:dyDescent="0.35">
      <c r="C1" s="1" t="s">
        <v>0</v>
      </c>
      <c r="D1" s="1"/>
      <c r="E1" s="1"/>
      <c r="F1" s="1"/>
      <c r="G1" s="1"/>
      <c r="H1" s="1"/>
      <c r="I1" s="1"/>
      <c r="J1" s="1"/>
      <c r="O1" t="s">
        <v>1</v>
      </c>
      <c r="P1" t="s">
        <v>2</v>
      </c>
      <c r="Q1" t="s">
        <v>3</v>
      </c>
      <c r="R1" t="s">
        <v>4</v>
      </c>
      <c r="S1" t="s">
        <v>5</v>
      </c>
    </row>
    <row r="2" spans="1:21" ht="18" x14ac:dyDescent="0.35">
      <c r="C2" s="2"/>
      <c r="D2" s="2"/>
      <c r="E2" s="2"/>
      <c r="F2" s="2"/>
      <c r="G2" s="2"/>
      <c r="H2" s="2"/>
      <c r="I2" s="2"/>
      <c r="J2" s="2"/>
      <c r="O2" s="3">
        <f>((0.9*A22)+(0.5*B22))*$C$7*(1-$B$12)</f>
        <v>62.04</v>
      </c>
      <c r="P2" s="3">
        <f>((0.5*C22)+(0.1*D22))*$C$7*(1-$B$12)</f>
        <v>0</v>
      </c>
      <c r="Q2" s="3">
        <f>((0.1*A22)+(0.5*B22))*$C$7*(1-$B$12)</f>
        <v>31.959999999999997</v>
      </c>
      <c r="R2" s="3">
        <f>((0.5*C22)+(0.9*D22))*$C$7*(1-$B$12)</f>
        <v>0</v>
      </c>
      <c r="S2" s="3">
        <f>O2-$C$9</f>
        <v>22.04</v>
      </c>
    </row>
    <row r="3" spans="1:21" x14ac:dyDescent="0.3">
      <c r="C3" s="4"/>
      <c r="D3" s="4"/>
      <c r="E3" s="5" t="s">
        <v>6</v>
      </c>
      <c r="F3" s="12" t="s">
        <v>7</v>
      </c>
      <c r="G3" s="6"/>
      <c r="H3" s="6"/>
      <c r="I3" s="6"/>
      <c r="J3" s="7"/>
      <c r="K3" s="7"/>
      <c r="L3" s="7"/>
      <c r="O3" s="3">
        <f>((0.9*A23)+(0.5*B23))*$C$7*(1-$B$12)</f>
        <v>38.54</v>
      </c>
      <c r="P3" s="3">
        <f>((0.5*C23)+(0.1*D23))*$C$7*(1-$B$12)</f>
        <v>23.5</v>
      </c>
      <c r="Q3" s="3">
        <f>((0.1*A23)+(0.5*B23))*$C$7*(1-$B$12)</f>
        <v>8.4600000000000009</v>
      </c>
      <c r="R3" s="3">
        <f>((0.5*C23)+(0.9*D23))*$C$7*(1-$B$12)</f>
        <v>23.5</v>
      </c>
      <c r="S3" s="3">
        <f>O3-$C$9</f>
        <v>-1.4600000000000009</v>
      </c>
    </row>
    <row r="4" spans="1:21" x14ac:dyDescent="0.3">
      <c r="E4" s="8" t="s">
        <v>8</v>
      </c>
      <c r="F4" s="9" t="s">
        <v>9</v>
      </c>
      <c r="G4" s="10"/>
      <c r="H4" s="10"/>
      <c r="I4" s="10"/>
      <c r="J4" s="10"/>
      <c r="K4" s="10"/>
      <c r="L4" s="10"/>
      <c r="O4" s="3">
        <f>((0.9*A24)+(0.5*B24))*$C$7*(1-$B$12)</f>
        <v>36.659999999999997</v>
      </c>
      <c r="P4" s="3">
        <f>((0.5*C24)+(0.1*D24))*$C$7*(1-$B$12)</f>
        <v>17.86</v>
      </c>
      <c r="Q4" s="3">
        <f>((0.1*A24)+(0.5*B24))*$C$7*(1-$B$12)</f>
        <v>10.339999999999998</v>
      </c>
      <c r="R4" s="3">
        <f>((0.5*C24)+(0.9*D24))*$C$7*(1-$B$12)</f>
        <v>29.139999999999997</v>
      </c>
      <c r="S4" s="3">
        <f>O4-$C$9</f>
        <v>-3.3400000000000034</v>
      </c>
    </row>
    <row r="5" spans="1:21" x14ac:dyDescent="0.3">
      <c r="E5" s="11" t="s">
        <v>10</v>
      </c>
      <c r="F5" s="12" t="s">
        <v>11</v>
      </c>
      <c r="G5" s="6"/>
      <c r="H5" s="6"/>
      <c r="I5" s="6"/>
      <c r="J5" s="6"/>
      <c r="K5" s="6"/>
      <c r="L5" s="6"/>
      <c r="O5" s="3"/>
      <c r="P5" s="3"/>
      <c r="Q5" s="3"/>
      <c r="R5" s="3"/>
      <c r="S5" s="3"/>
    </row>
    <row r="6" spans="1:21" x14ac:dyDescent="0.3">
      <c r="O6" s="3">
        <f>((0.9*A25)+(0.5*B25))*$C$7*(1-$B$12)</f>
        <v>38.54</v>
      </c>
      <c r="P6" s="3">
        <f>((0.5*C25)+(0.1*D25))*$C$7*(1-$B$12)</f>
        <v>15.979999999999999</v>
      </c>
      <c r="Q6" s="3">
        <f>((0.1*A25)+(0.5*B25))*$C$7*(1-$B$12)</f>
        <v>8.4600000000000009</v>
      </c>
      <c r="R6" s="3">
        <f>((0.5*C25)+(0.9*D25))*$C$7*(1-$B$12)</f>
        <v>31.02</v>
      </c>
      <c r="S6" s="3">
        <f>O6-$C$9</f>
        <v>-1.4600000000000009</v>
      </c>
    </row>
    <row r="7" spans="1:21" x14ac:dyDescent="0.3">
      <c r="A7" s="81" t="s">
        <v>12</v>
      </c>
      <c r="B7" s="82"/>
      <c r="C7" s="13">
        <v>100</v>
      </c>
      <c r="D7" s="14" t="s">
        <v>13</v>
      </c>
      <c r="E7" s="15" t="s">
        <v>14</v>
      </c>
      <c r="F7" s="16"/>
      <c r="G7" s="17"/>
      <c r="J7" s="18" t="s">
        <v>15</v>
      </c>
      <c r="P7" s="3">
        <f>((0.9*A26)+(0.5*B26))*$C$7*(1-$B$12)</f>
        <v>0</v>
      </c>
      <c r="Q7" s="3">
        <f>((0.5*C26)+(0.1*D26))*$C$7*(1-$B$12)</f>
        <v>47</v>
      </c>
      <c r="R7" s="3">
        <f>((0.1*A26)+(0.5*B26))*$C$7*(1-$B$12)</f>
        <v>0</v>
      </c>
      <c r="S7" s="3">
        <f>((0.5*C26)+(0.9*D26))*$C$7*(1-$B$12)</f>
        <v>47</v>
      </c>
      <c r="T7" s="3">
        <f>P7-$C$9</f>
        <v>-40</v>
      </c>
    </row>
    <row r="8" spans="1:21" x14ac:dyDescent="0.3">
      <c r="A8" s="79" t="s">
        <v>16</v>
      </c>
      <c r="B8" s="80"/>
      <c r="C8" s="19">
        <v>35</v>
      </c>
      <c r="D8" s="20" t="s">
        <v>13</v>
      </c>
      <c r="E8" s="21"/>
      <c r="F8" s="22"/>
      <c r="G8" s="23"/>
      <c r="I8" s="24" t="s">
        <v>17</v>
      </c>
      <c r="J8" s="25">
        <v>70</v>
      </c>
      <c r="P8" s="3">
        <f>((0.9*A27)+(0.5*B27))*$C$7*(1-$B$12)</f>
        <v>0</v>
      </c>
      <c r="Q8" s="3">
        <f>((0.5*C27)+(0.1*D27))*$C$7*(1-$B$12)</f>
        <v>9.3999999999999986</v>
      </c>
      <c r="R8" s="3">
        <f>((0.1*A27)+(0.5*B27))*$C$7*(1-$B$12)</f>
        <v>0</v>
      </c>
      <c r="S8" s="3">
        <f>((0.5*C27)+(0.9*D27))*$C$7*(1-$B$12)</f>
        <v>84.6</v>
      </c>
      <c r="T8" s="3">
        <f>P8-$C$9</f>
        <v>-40</v>
      </c>
    </row>
    <row r="9" spans="1:21" x14ac:dyDescent="0.3">
      <c r="A9" s="77" t="s">
        <v>18</v>
      </c>
      <c r="B9" s="78"/>
      <c r="C9" s="26">
        <v>40</v>
      </c>
      <c r="D9" s="27" t="s">
        <v>19</v>
      </c>
      <c r="E9" s="28"/>
      <c r="F9" s="29"/>
      <c r="G9" s="30"/>
      <c r="I9" s="24" t="s">
        <v>20</v>
      </c>
      <c r="J9" s="31">
        <v>40</v>
      </c>
      <c r="P9" s="3">
        <f>((0.9*A28)+(0.5*B28))*$C$7*(1-$B$12)</f>
        <v>33.840000000000003</v>
      </c>
      <c r="Q9" s="3">
        <f>((0.5*C28)+(0.1*D28))*$C$7*(1-$B$12)</f>
        <v>28.2</v>
      </c>
      <c r="R9" s="3">
        <f>((0.1*A28)+(0.5*B28))*$C$7*(1-$B$12)</f>
        <v>3.7600000000000007</v>
      </c>
      <c r="S9" s="3">
        <f>((0.5*C28)+(0.9*D28))*$C$7*(1-$B$12)</f>
        <v>28.2</v>
      </c>
      <c r="T9" s="3">
        <f>P9-$C$9</f>
        <v>-6.1599999999999966</v>
      </c>
    </row>
    <row r="10" spans="1:21" ht="28.8" customHeight="1" x14ac:dyDescent="0.3">
      <c r="A10" s="77" t="s">
        <v>21</v>
      </c>
      <c r="B10" s="78"/>
      <c r="C10" s="83">
        <v>2000</v>
      </c>
      <c r="D10" s="27"/>
      <c r="E10" s="32" t="s">
        <v>22</v>
      </c>
      <c r="F10" s="33"/>
      <c r="G10" s="34"/>
      <c r="I10" s="24" t="s">
        <v>23</v>
      </c>
      <c r="J10" s="31">
        <v>10</v>
      </c>
    </row>
    <row r="11" spans="1:21" x14ac:dyDescent="0.3">
      <c r="C11" s="35"/>
      <c r="D11" s="36"/>
      <c r="E11" s="36"/>
      <c r="F11" s="36"/>
      <c r="G11" s="36"/>
      <c r="I11" s="37" t="s">
        <v>24</v>
      </c>
      <c r="J11" s="31">
        <v>25</v>
      </c>
      <c r="S11" s="38" t="s">
        <v>25</v>
      </c>
      <c r="T11" s="38"/>
      <c r="U11" s="38"/>
    </row>
    <row r="12" spans="1:21" x14ac:dyDescent="0.3">
      <c r="A12" s="39" t="s">
        <v>26</v>
      </c>
      <c r="B12" s="40">
        <v>0.06</v>
      </c>
      <c r="O12" t="s">
        <v>27</v>
      </c>
      <c r="P12" t="s">
        <v>28</v>
      </c>
      <c r="Q12" t="s">
        <v>29</v>
      </c>
      <c r="R12" t="s">
        <v>30</v>
      </c>
      <c r="S12" t="s">
        <v>31</v>
      </c>
      <c r="T12" t="s">
        <v>32</v>
      </c>
      <c r="U12" t="s">
        <v>33</v>
      </c>
    </row>
    <row r="13" spans="1:21" ht="7.2" customHeight="1" x14ac:dyDescent="0.3">
      <c r="O13" s="41">
        <f>P13*(1/$O$32)</f>
        <v>84.600000000000009</v>
      </c>
      <c r="P13" s="3">
        <f>((0.9*A22)*$C$7*(1-$B$12))</f>
        <v>33.840000000000003</v>
      </c>
      <c r="Q13" s="3">
        <f>R13*(1/$P$32)</f>
        <v>56.4</v>
      </c>
      <c r="R13" s="3">
        <f>(0.5*B22)*$C$7*(1-$B$12)</f>
        <v>28.2</v>
      </c>
      <c r="S13" s="42" t="b">
        <f>IF(ROUND(P13,0)=C9,($C$7*(0.9*A22)/$O$32*(1-$B$12)*$J$8))</f>
        <v>0</v>
      </c>
      <c r="T13" s="42" t="b">
        <f>IF(ROUND(P13,0)&gt;C9,(C9/0.9)/(1-B12)/O32*J8)</f>
        <v>0</v>
      </c>
      <c r="U13" s="42">
        <f>IF(ROUND(P13,0)&lt;C9,($C$7*(0.9*A22)/$O$32*$J$8*(1-$B$12)+IF((C9-P13)&gt;0,(C9-P13)/0.5/(1-B12)/P32*J9)))</f>
        <v>6970.5106382978729</v>
      </c>
    </row>
    <row r="14" spans="1:21" x14ac:dyDescent="0.3">
      <c r="I14" s="43"/>
      <c r="J14" s="44" t="s">
        <v>34</v>
      </c>
      <c r="K14" s="18" t="s">
        <v>35</v>
      </c>
      <c r="O14" s="41">
        <f>P14*(1/$O$32)</f>
        <v>84.600000000000009</v>
      </c>
      <c r="P14" s="3">
        <f>((0.9*A23)*$C$7*(1-$B$12))</f>
        <v>33.840000000000003</v>
      </c>
      <c r="Q14" s="3">
        <f>R14*(1/$P$32)</f>
        <v>9.3999999999999986</v>
      </c>
      <c r="R14" s="3">
        <f>(0.5*B23)*$C$7*(1-$B$12)</f>
        <v>4.6999999999999993</v>
      </c>
      <c r="U14">
        <f>IF((C9-P13)&gt;1,(C9-P13)/0.5/(1-B12)/P32*J9)</f>
        <v>1048.5106382978718</v>
      </c>
    </row>
    <row r="15" spans="1:21" x14ac:dyDescent="0.3">
      <c r="I15" s="45" t="s">
        <v>36</v>
      </c>
      <c r="J15" s="46">
        <f>[2]Feuil1!$B$18</f>
        <v>0.99699151261481289</v>
      </c>
      <c r="K15" s="47">
        <v>100</v>
      </c>
      <c r="O15" s="41">
        <f>P15*(1/$O$32)</f>
        <v>74.025000000000006</v>
      </c>
      <c r="P15" s="3">
        <f>((0.9*A24)*$C$7*(1-$B$12))</f>
        <v>29.61</v>
      </c>
      <c r="Q15" s="3">
        <f>R15*(1/$P$32)</f>
        <v>14.1</v>
      </c>
      <c r="R15" s="3">
        <f>(0.5*B24)*$C$7*(1-$B$12)</f>
        <v>7.05</v>
      </c>
      <c r="U15" t="b">
        <f>IF((C9-P13)&gt;1,IF(B22=0,0),(C9-P13)/0.5/(1-B12)/P32*"F9")</f>
        <v>0</v>
      </c>
    </row>
    <row r="16" spans="1:21" x14ac:dyDescent="0.3">
      <c r="I16" s="45" t="s">
        <v>37</v>
      </c>
      <c r="J16" s="46">
        <f>[2]Feuil1!$C$18</f>
        <v>1.4937916551262824</v>
      </c>
      <c r="K16" s="47">
        <v>110</v>
      </c>
      <c r="O16" s="41">
        <f>P16*(1/$O$32)</f>
        <v>84.600000000000009</v>
      </c>
      <c r="P16" s="3">
        <f>((0.9*A25)*$C$7*(1-$B$12))</f>
        <v>33.840000000000003</v>
      </c>
      <c r="Q16" s="3">
        <f>R16*(1/$P$32)</f>
        <v>9.3999999999999986</v>
      </c>
      <c r="R16" s="3">
        <f>(0.5*B25)*$C$7*(1-$B$12)</f>
        <v>4.6999999999999993</v>
      </c>
    </row>
    <row r="17" spans="1:20" x14ac:dyDescent="0.3">
      <c r="I17" s="45" t="s">
        <v>38</v>
      </c>
      <c r="J17" s="46">
        <f>[2]Feuil1!$D$18</f>
        <v>2.0373981684020062</v>
      </c>
      <c r="K17" s="47">
        <v>100</v>
      </c>
      <c r="O17" s="41">
        <f>P17*(1/$O$32)</f>
        <v>0</v>
      </c>
      <c r="P17" s="3">
        <f>((0.9*A26)*$C$7*(1-$B$12))</f>
        <v>0</v>
      </c>
      <c r="Q17" s="3">
        <f>R17*(1/$P$32)</f>
        <v>0</v>
      </c>
      <c r="R17" s="3">
        <f>(0.5*B26)*$C$7*(1-$B$12)</f>
        <v>0</v>
      </c>
    </row>
    <row r="18" spans="1:20" x14ac:dyDescent="0.3">
      <c r="I18" s="45" t="s">
        <v>39</v>
      </c>
      <c r="J18" s="46">
        <f>[2]Feuil1!$E$18</f>
        <v>3.1932956633258311</v>
      </c>
      <c r="K18" s="47">
        <v>110</v>
      </c>
      <c r="O18" s="41">
        <f>P18*(1/$O$32)</f>
        <v>0</v>
      </c>
      <c r="P18" s="3">
        <f>((0.9*A27)*$C$7*(1-$B$12))</f>
        <v>0</v>
      </c>
      <c r="Q18" s="3">
        <f>R18*(1/$P$32)</f>
        <v>0</v>
      </c>
      <c r="R18" s="3">
        <f>(0.5*B27)*$C$7*(1-$B$12)</f>
        <v>0</v>
      </c>
    </row>
    <row r="19" spans="1:20" x14ac:dyDescent="0.3">
      <c r="B19" s="48"/>
      <c r="T19" t="b">
        <f>IF(B22=0,0)</f>
        <v>0</v>
      </c>
    </row>
    <row r="20" spans="1:20" x14ac:dyDescent="0.3">
      <c r="A20" s="75" t="s">
        <v>40</v>
      </c>
      <c r="B20" s="76"/>
      <c r="C20" s="49" t="s">
        <v>41</v>
      </c>
      <c r="D20" s="50"/>
      <c r="E20" s="52" t="s">
        <v>42</v>
      </c>
      <c r="F20" s="52" t="s">
        <v>43</v>
      </c>
      <c r="G20" s="52" t="s">
        <v>44</v>
      </c>
      <c r="H20" s="52" t="s">
        <v>45</v>
      </c>
      <c r="I20" s="73" t="s">
        <v>46</v>
      </c>
      <c r="J20" s="52" t="s">
        <v>47</v>
      </c>
      <c r="K20" s="73" t="s">
        <v>48</v>
      </c>
    </row>
    <row r="21" spans="1:20" x14ac:dyDescent="0.3">
      <c r="A21" s="51" t="s">
        <v>49</v>
      </c>
      <c r="B21" s="51" t="s">
        <v>50</v>
      </c>
      <c r="C21" s="51" t="s">
        <v>50</v>
      </c>
      <c r="D21" s="51" t="s">
        <v>49</v>
      </c>
      <c r="E21" s="60"/>
      <c r="F21" s="60"/>
      <c r="G21" s="60"/>
      <c r="H21" s="60"/>
      <c r="I21" s="74"/>
      <c r="J21" s="60"/>
      <c r="K21" s="74"/>
      <c r="L21" s="72"/>
      <c r="N21" s="52" t="s">
        <v>51</v>
      </c>
    </row>
    <row r="22" spans="1:20" x14ac:dyDescent="0.3">
      <c r="A22" s="53">
        <v>0.4</v>
      </c>
      <c r="B22" s="53">
        <v>0.6</v>
      </c>
      <c r="C22" s="53">
        <v>0</v>
      </c>
      <c r="D22" s="53">
        <v>0</v>
      </c>
      <c r="E22" s="54">
        <f t="shared" ref="E22:E28" si="0">SUM(A22:D22)</f>
        <v>1</v>
      </c>
      <c r="F22" s="55">
        <f>IF($C$9-O2&lt;0,0,$C$9-O2)</f>
        <v>0</v>
      </c>
      <c r="G22" s="56">
        <f>IF(S2&gt;0,S2*$J$15*$K$15,0)+(Q2*$J$16*$K$16)+(P2*$J$17*$K$17)+(R2*$J$18*$K$18)</f>
        <v>7448.9432365650064</v>
      </c>
      <c r="H22" s="57">
        <f>($C$7*A22/$O$32*$J$8)+($C$7*B22/$P$32*$J$9)+($C$7*C22/$P$32*$J$10)+($C$7*D22/$O$32*$J$11)</f>
        <v>11800</v>
      </c>
      <c r="I22" s="58">
        <f>H22-IF(ROUND($P$13,0)=$C$9,($C$7*(0.9*A22)/$O$32*(1-$B$12)*$J$8))-IF(ROUND($P$13,0)&gt;$C$9,($C$9/0.9)/(1-$B$12)/$O$32*$J$8)-IF(ROUND($P$13,0)&lt;$C$9,($C$7*(0.9*A22)/$O$32*$J$8*(1-$B$12)+IF(($C$9-$P$13)&gt;0,IF(B22=0,0),($C$9-$P$13)/0.5/(1-$B$12)/$P$32*$J$9)))</f>
        <v>5877.9999999999991</v>
      </c>
      <c r="J22" s="59">
        <f t="shared" ref="J22:J28" si="1">G22-I22</f>
        <v>1570.9432365650073</v>
      </c>
      <c r="K22" s="59">
        <f t="shared" ref="K22:K28" si="2">J22-(F22*$C$10)</f>
        <v>1570.9432365650073</v>
      </c>
      <c r="L22" s="72"/>
      <c r="N22" s="60"/>
    </row>
    <row r="23" spans="1:20" x14ac:dyDescent="0.3">
      <c r="A23" s="53">
        <v>0.4</v>
      </c>
      <c r="B23" s="53">
        <v>0.1</v>
      </c>
      <c r="C23" s="53">
        <v>0.5</v>
      </c>
      <c r="D23" s="53">
        <v>0</v>
      </c>
      <c r="E23" s="54">
        <f t="shared" si="0"/>
        <v>1</v>
      </c>
      <c r="F23" s="55">
        <f>IF($C$9-O3&lt;0,0,$C$9-O3)</f>
        <v>1.4600000000000009</v>
      </c>
      <c r="G23" s="56">
        <f>IF(S3&gt;0,S3*$J$15*$K$15,0)+(Q3*$J$16*$K$16)+(P3*$J$17*$K$17)+(R3*$J$18*$K$18)</f>
        <v>14432.677499702506</v>
      </c>
      <c r="H23" s="57">
        <f>($C$7*A23/$O$32*$J$8)+($C$7*B23/$P$32*$J$9)+($C$7*C23/$P$32*$J$10)+($C$7*D23/$O$32*$J$11)</f>
        <v>8800</v>
      </c>
      <c r="I23" s="58">
        <f>H23-IF(ROUND($P$13,0)=$C$9,($C$7*(0.9*A23)/$O$32*(1-$B$12)*$J$8))-IF(ROUND($P$13,0)&gt;$C$9,($C$9/0.9)/(1-$B$12)/$O$32*$J$8)-IF(ROUND($P$13,0)&lt;$C$9,($C$7*(0.9*A23)/$O$32*$J$8*(1-$B$12)+IF(($C$9-$P$13)&gt;0,IF(B23=0,0),($C$9-$P$13)/0.5/(1-$B$12)/$P$32*$J$9)))</f>
        <v>2877.9999999999991</v>
      </c>
      <c r="J23" s="59">
        <f t="shared" si="1"/>
        <v>11554.677499702506</v>
      </c>
      <c r="K23" s="59">
        <f t="shared" si="2"/>
        <v>8634.6774997025041</v>
      </c>
      <c r="L23" s="61"/>
      <c r="N23" s="62">
        <f t="shared" ref="N23:N29" si="3">$C$7*(1-$B$12)</f>
        <v>94</v>
      </c>
    </row>
    <row r="24" spans="1:20" x14ac:dyDescent="0.3">
      <c r="A24" s="53">
        <v>0.35</v>
      </c>
      <c r="B24" s="53">
        <v>0.15</v>
      </c>
      <c r="C24" s="53">
        <v>0.35</v>
      </c>
      <c r="D24" s="53">
        <v>0.15</v>
      </c>
      <c r="E24" s="54">
        <f t="shared" si="0"/>
        <v>1</v>
      </c>
      <c r="F24" s="55">
        <f>IF($C$9-O4&lt;0,0,$C$9-O4)</f>
        <v>3.3400000000000034</v>
      </c>
      <c r="G24" s="56">
        <f>IF(S4&gt;0,S4*$J$15*$K$15,0)+(Q4*$J$16*$K$16)+(P4*$J$17*$K$17)+(R4*$J$18*$K$18)</f>
        <v>15573.621676531235</v>
      </c>
      <c r="H24" s="57">
        <f>($C$7*A24/$O$32*$J$8)+($C$7*B24/$P$32*$J$9)+($C$7*C24/$P$32*$J$10)+($C$7*D24/$O$32*$J$11)</f>
        <v>8962.5</v>
      </c>
      <c r="I24" s="58">
        <f>H24-IF(ROUND($P$13,0)=$C$9,($C$7*(0.9*A24)/$O$32*(1-$B$12)*$J$8))-IF(ROUND($P$13,0)&gt;$C$9,($C$9/0.9)/(1-$B$12)/$O$32*$J$8)-IF(ROUND($P$13,0)&lt;$C$9,($C$7*(0.9*A24)/$O$32*$J$8*(1-$B$12)+IF(($C$9-$P$13)&gt;0,IF(B24=0,0),($C$9-$P$13)/0.5/(1-$B$12)/$P$32*$J$9)))</f>
        <v>3780.75</v>
      </c>
      <c r="J24" s="59">
        <f t="shared" si="1"/>
        <v>11792.871676531235</v>
      </c>
      <c r="K24" s="59">
        <f t="shared" si="2"/>
        <v>5112.8716765312274</v>
      </c>
      <c r="L24" s="61"/>
      <c r="N24" s="62">
        <f t="shared" si="3"/>
        <v>94</v>
      </c>
    </row>
    <row r="25" spans="1:20" x14ac:dyDescent="0.3">
      <c r="A25" s="53">
        <v>0.4</v>
      </c>
      <c r="B25" s="53">
        <v>0.1</v>
      </c>
      <c r="C25" s="53">
        <v>0.3</v>
      </c>
      <c r="D25" s="53">
        <v>0.2</v>
      </c>
      <c r="E25" s="54">
        <f t="shared" si="0"/>
        <v>1</v>
      </c>
      <c r="F25" s="55">
        <f>IF($C$9-O6&lt;0,0,$C$9-O6)</f>
        <v>1.4600000000000009</v>
      </c>
      <c r="G25" s="56">
        <f>IF(S6&gt;0,S6*$J$15*$K$15,0)+(Q6*$J$16*$K$16)+(P6*$J$17*$K$17)+(R6*$J$18*$K$18)</f>
        <v>15542.048249767324</v>
      </c>
      <c r="H25" s="57">
        <f>($C$7*A25/$O$32*$J$8)+($C$7*B25/$P$32*$J$9)+($C$7*C25/$P$32*$J$10)+($C$7*D25/$O$32*$J$11)</f>
        <v>9650</v>
      </c>
      <c r="I25" s="58">
        <f>H25-IF(ROUND($P$13,0)=$C$9,($C$7*(0.9*A25)/$O$32*(1-$B$12)*$J$8))-IF(ROUND($P$13,0)&gt;$C$9,($C$9/0.9)/(1-$B$12)/$O$32*$J$8)-IF(ROUND($P$13,0)&lt;$C$9,($C$7*(0.9*A25)/$O$32*$J$8*(1-$B$12)+IF(($C$9-$P$13)&gt;0,IF(B25=0,0),($C$9-$P$13)/0.5/(1-$B$12)/$P$32*$J$9)))</f>
        <v>3727.9999999999991</v>
      </c>
      <c r="J25" s="59">
        <f t="shared" si="1"/>
        <v>11814.048249767326</v>
      </c>
      <c r="K25" s="59">
        <f t="shared" si="2"/>
        <v>8894.0482497673238</v>
      </c>
      <c r="L25" s="61"/>
      <c r="N25" s="62">
        <f t="shared" si="3"/>
        <v>94</v>
      </c>
    </row>
    <row r="26" spans="1:20" x14ac:dyDescent="0.3">
      <c r="A26" s="53">
        <v>0</v>
      </c>
      <c r="B26" s="53">
        <v>0</v>
      </c>
      <c r="C26" s="53">
        <v>1</v>
      </c>
      <c r="D26" s="53">
        <v>0</v>
      </c>
      <c r="E26" s="54">
        <f t="shared" si="0"/>
        <v>1</v>
      </c>
      <c r="F26" s="55">
        <f>IF($C$9-P7&lt;0,0,$C$9-P7)</f>
        <v>40</v>
      </c>
      <c r="G26" s="56">
        <f>IF(T7&gt;0,T7*$J$15*$K$15,0)+(R7*$J$16*$K$16)+(Q7*$J$17*$K$17)+(S7*$J$18*$K$18)</f>
        <v>26085.109970883976</v>
      </c>
      <c r="H26" s="57">
        <f>($C$7*A26/$O$32*$J$8)+($C$7*B26/$P$32*$J$9)+($C$7*C26/$P$32*$J$10)+($C$7*D26/$O$32*$J$11)</f>
        <v>2000</v>
      </c>
      <c r="I26" s="58">
        <f>H26-IF(ROUND($P$13,0)=$C$9,($C$7*(0.9*A26)/$O$32*(1-$B$12)*$J$8))-IF(ROUND($P$13,0)&gt;$C$9,($C$9/0.9)/(1-$B$12)/$O$32*$J$8)-IF(ROUND($P$13,0)&lt;$C$9,($C$7*(0.9*A26)/$O$32*$J$8*(1-$B$12)+IF(($C$9-$P$13)&gt;0,IF(B26=0,0),($C$9-$P$13)/0.5/(1-$B$12)/$P$32*$J$9)))</f>
        <v>2000</v>
      </c>
      <c r="J26" s="59">
        <f t="shared" si="1"/>
        <v>24085.109970883976</v>
      </c>
      <c r="K26" s="59">
        <f t="shared" si="2"/>
        <v>-55914.890029116024</v>
      </c>
      <c r="L26" s="61"/>
      <c r="N26" s="62">
        <f t="shared" si="3"/>
        <v>94</v>
      </c>
    </row>
    <row r="27" spans="1:20" x14ac:dyDescent="0.3">
      <c r="A27" s="53">
        <v>0</v>
      </c>
      <c r="B27" s="53">
        <v>0</v>
      </c>
      <c r="C27" s="53">
        <v>0</v>
      </c>
      <c r="D27" s="53">
        <v>1</v>
      </c>
      <c r="E27" s="54">
        <f t="shared" si="0"/>
        <v>1</v>
      </c>
      <c r="F27" s="55">
        <f>IF($C$9-P8&lt;0,0,$C$9-P8)</f>
        <v>40</v>
      </c>
      <c r="G27" s="56">
        <f>IF(T8&gt;0,T8*$J$15*$K$15,0)+(R8*$J$16*$K$16)+(Q8*$J$17*$K$17)+(S8*$J$18*$K$18)</f>
        <v>31631.963721208067</v>
      </c>
      <c r="H27" s="57">
        <f>($C$7*A27/$O$32*$J$8)+($C$7*B27/$P$32*$J$9)+($C$7*C27/$P$32*$J$10)+($C$7*D27/$O$32*$J$11)</f>
        <v>6250</v>
      </c>
      <c r="I27" s="58">
        <f>H27-IF(ROUND($P$13,0)=$C$9,($C$7*(0.9*A27)/$O$32*(1-$B$12)*$J$8))-IF(ROUND($P$13,0)&gt;$C$9,($C$9/0.9)/(1-$B$12)/$O$32*$J$8)-IF(ROUND($P$13,0)&lt;$C$9,($C$7*(0.9*A27)/$O$32*$J$8*(1-$B$12)+IF(($C$9-$P$13)&gt;0,IF(B27=0,0),($C$9-$P$13)/0.5/(1-$B$12)/$P$32*$J$9)))</f>
        <v>6250</v>
      </c>
      <c r="J27" s="59">
        <f t="shared" si="1"/>
        <v>25381.963721208067</v>
      </c>
      <c r="K27" s="59">
        <f t="shared" si="2"/>
        <v>-54618.036278791929</v>
      </c>
      <c r="L27" s="61"/>
      <c r="N27" s="62">
        <f t="shared" si="3"/>
        <v>94</v>
      </c>
    </row>
    <row r="28" spans="1:20" x14ac:dyDescent="0.3">
      <c r="A28" s="53">
        <v>0.4</v>
      </c>
      <c r="B28" s="53">
        <v>0</v>
      </c>
      <c r="C28" s="53">
        <v>0.6</v>
      </c>
      <c r="D28" s="53">
        <v>0</v>
      </c>
      <c r="E28" s="54">
        <f t="shared" si="0"/>
        <v>1</v>
      </c>
      <c r="F28" s="55">
        <f>IF($C$9-P9&lt;0,0,$C$9-P9)</f>
        <v>6.1599999999999966</v>
      </c>
      <c r="G28" s="56">
        <f>IF(T9&gt;0,T9*$J$15*$K$15,0)+(R9*$J$16*$K$16)+(Q9*$J$17*$K$17)+(S9*$J$18*$K$18)</f>
        <v>16268.898211090616</v>
      </c>
      <c r="H28" s="57">
        <f>($C$7*A28/$O$32*$J$8)+($C$7*B28/$P$32*$J$9)+($C$7*C28/$P$32*$J$10)+($C$7*D28/$O$32*$J$11)</f>
        <v>8200</v>
      </c>
      <c r="I28" s="58">
        <f>H28-IF(ROUND($P$13,0)=$C$9,($C$7*(0.9*A28)/$O$32*(1-$B$12)*$J$8))-IF(ROUND($P$13,0)&gt;$C$9,($C$9/0.9)/(1-$B$12)/$O$32*$J$8)-IF(ROUND($P$13,0)&lt;$C$9,($C$7*(0.9*A28)/$O$32*$J$8*(1-$B$12)+IF(($C$9-$P$13)&gt;0,IF(B28=0,0),($C$9-$P$13)/0.5/(1-$B$12)/$P$32*$J$9)))</f>
        <v>2277.9999999999991</v>
      </c>
      <c r="J28" s="59">
        <f t="shared" si="1"/>
        <v>13990.898211090618</v>
      </c>
      <c r="K28" s="59">
        <f t="shared" si="2"/>
        <v>1670.8982110906254</v>
      </c>
      <c r="L28" s="61"/>
      <c r="N28" s="62">
        <f t="shared" si="3"/>
        <v>94</v>
      </c>
    </row>
    <row r="29" spans="1:20" hidden="1" x14ac:dyDescent="0.3">
      <c r="A29" s="63"/>
      <c r="B29" s="63"/>
      <c r="C29" s="63"/>
      <c r="D29" s="63"/>
      <c r="E29" s="63"/>
      <c r="F29" s="63"/>
      <c r="G29" s="63"/>
      <c r="H29" s="63"/>
      <c r="I29" s="63"/>
      <c r="J29" s="63"/>
      <c r="K29" s="63"/>
      <c r="L29" s="61"/>
      <c r="N29" s="62">
        <f t="shared" si="3"/>
        <v>94</v>
      </c>
    </row>
    <row r="30" spans="1:20" hidden="1" x14ac:dyDescent="0.3">
      <c r="L30" s="64"/>
    </row>
    <row r="31" spans="1:20" x14ac:dyDescent="0.3">
      <c r="A31" s="65" t="s">
        <v>52</v>
      </c>
      <c r="B31" s="65"/>
      <c r="C31" s="65"/>
      <c r="D31" s="65"/>
      <c r="E31" s="65"/>
      <c r="F31" s="65"/>
      <c r="G31" s="65"/>
      <c r="H31" s="65"/>
      <c r="I31" s="65"/>
      <c r="J31" s="65"/>
      <c r="K31" s="65"/>
      <c r="O31" s="66" t="s">
        <v>49</v>
      </c>
      <c r="P31" s="67" t="s">
        <v>50</v>
      </c>
    </row>
    <row r="32" spans="1:20" x14ac:dyDescent="0.3">
      <c r="J32" s="68" t="s">
        <v>53</v>
      </c>
      <c r="K32" s="68"/>
      <c r="N32" s="66" t="s">
        <v>54</v>
      </c>
      <c r="O32" s="69">
        <v>0.4</v>
      </c>
      <c r="P32" s="69">
        <v>0.5</v>
      </c>
    </row>
    <row r="33" spans="10:12" x14ac:dyDescent="0.3">
      <c r="J33" s="70" t="s">
        <v>55</v>
      </c>
      <c r="K33" s="70"/>
    </row>
    <row r="39" spans="10:12" x14ac:dyDescent="0.3">
      <c r="L39" s="71"/>
    </row>
  </sheetData>
  <sheetProtection sheet="1" objects="1" scenarios="1"/>
  <protectedRanges>
    <protectedRange sqref="C7:C10" name="Plage1_5"/>
    <protectedRange sqref="J8:J11" name="Plage2_5"/>
    <protectedRange sqref="K15:K18" name="Plage3_5"/>
    <protectedRange sqref="A22:D28" name="Plage4_5"/>
  </protectedRanges>
  <mergeCells count="26">
    <mergeCell ref="J32:K32"/>
    <mergeCell ref="J33:K33"/>
    <mergeCell ref="J20:J21"/>
    <mergeCell ref="K20:K21"/>
    <mergeCell ref="L21:L22"/>
    <mergeCell ref="N21:N22"/>
    <mergeCell ref="A29:K29"/>
    <mergeCell ref="A31:K31"/>
    <mergeCell ref="A10:B10"/>
    <mergeCell ref="E10:G10"/>
    <mergeCell ref="S11:U11"/>
    <mergeCell ref="A20:B20"/>
    <mergeCell ref="C20:D20"/>
    <mergeCell ref="E20:E21"/>
    <mergeCell ref="F20:F21"/>
    <mergeCell ref="G20:G21"/>
    <mergeCell ref="H20:H21"/>
    <mergeCell ref="I20:I21"/>
    <mergeCell ref="C1:J1"/>
    <mergeCell ref="F3:I3"/>
    <mergeCell ref="F4:L4"/>
    <mergeCell ref="F5:L5"/>
    <mergeCell ref="A7:B7"/>
    <mergeCell ref="E7:G9"/>
    <mergeCell ref="A8:B8"/>
    <mergeCell ref="A9:B9"/>
  </mergeCells>
  <conditionalFormatting sqref="E22:E28">
    <cfRule type="cellIs" dxfId="18" priority="1" operator="notEqual">
      <formula>100%</formula>
    </cfRule>
  </conditionalFormatting>
  <conditionalFormatting sqref="G22:G28">
    <cfRule type="cellIs" dxfId="2" priority="3" operator="lessThan">
      <formula>0</formula>
    </cfRule>
  </conditionalFormatting>
  <conditionalFormatting sqref="F22:F28">
    <cfRule type="cellIs" dxfId="1" priority="2" operator="greaterThan">
      <formula>0</formula>
    </cfRule>
  </conditionalFormatting>
  <hyperlinks>
    <hyperlink ref="E10" r:id="rId1" xr:uid="{B5F261C4-2760-4E0F-A2ED-2D1A64DA4E12}"/>
  </hyperlinks>
  <pageMargins left="0.7" right="0.7" top="0.75" bottom="0.75" header="0.3" footer="0.3"/>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Les Producteurs de bovins du Quebec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Gingras, Anais</dc:creator>
  <cp:lastModifiedBy>Gingras, Anais</cp:lastModifiedBy>
  <dcterms:created xsi:type="dcterms:W3CDTF">2023-01-10T14:45:12Z</dcterms:created>
  <dcterms:modified xsi:type="dcterms:W3CDTF">2023-01-10T15:06:01Z</dcterms:modified>
</cp:coreProperties>
</file>